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<sst xmlns="http://schemas.openxmlformats.org/spreadsheetml/2006/main" count="2238" uniqueCount="299">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</sst>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14801947.41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29" sqref="H29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408239.11</v>
      </c>
      <c r="G8" s="22">
        <f aca="true" t="shared" si="0" ref="G8:G30">F8-E8</f>
        <v>-23018.919999999984</v>
      </c>
      <c r="H8" s="51">
        <f>F8/E8*100</f>
        <v>94.66237880834359</v>
      </c>
      <c r="I8" s="36">
        <f aca="true" t="shared" si="1" ref="I8:I17">F8-D8</f>
        <v>-80237.19</v>
      </c>
      <c r="J8" s="36">
        <f aca="true" t="shared" si="2" ref="J8:J14">F8/D8*100</f>
        <v>83.57398506334903</v>
      </c>
      <c r="K8" s="36">
        <f>F8-421084.1</f>
        <v>-12844.98999999999</v>
      </c>
      <c r="L8" s="136">
        <f>F8/421084.1</f>
        <v>0.9694954285854062</v>
      </c>
      <c r="M8" s="22">
        <f>M10+M19+M33+M56+M68+M30</f>
        <v>40254.39000000002</v>
      </c>
      <c r="N8" s="22">
        <f>N10+N19+N33+N56+N68+N30</f>
        <v>19479.859999999997</v>
      </c>
      <c r="O8" s="36">
        <f aca="true" t="shared" si="3" ref="O8:O71">N8-M8</f>
        <v>-20774.530000000024</v>
      </c>
      <c r="P8" s="36">
        <f>F8/M8*100</f>
        <v>1014.1480469583561</v>
      </c>
      <c r="Q8" s="36">
        <f>N8-39535.7</f>
        <v>-20055.84</v>
      </c>
      <c r="R8" s="134">
        <f>N8/39535.7</f>
        <v>0.49271569745824656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333736.56</v>
      </c>
      <c r="G9" s="22">
        <f t="shared" si="0"/>
        <v>333736.56</v>
      </c>
      <c r="H9" s="20"/>
      <c r="I9" s="56">
        <f t="shared" si="1"/>
        <v>-53276.640000000014</v>
      </c>
      <c r="J9" s="56">
        <f t="shared" si="2"/>
        <v>86.2338958981244</v>
      </c>
      <c r="K9" s="56"/>
      <c r="L9" s="135"/>
      <c r="M9" s="20">
        <f>M10+M17</f>
        <v>32301.900000000023</v>
      </c>
      <c r="N9" s="20">
        <f>N10+N17</f>
        <v>17714.369999999995</v>
      </c>
      <c r="O9" s="36">
        <f t="shared" si="3"/>
        <v>-14587.530000000028</v>
      </c>
      <c r="P9" s="56">
        <f>F9/M9*100</f>
        <v>1033.1793485832095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333736.56</v>
      </c>
      <c r="G10" s="49">
        <f t="shared" si="0"/>
        <v>-18271.440000000002</v>
      </c>
      <c r="H10" s="40">
        <f aca="true" t="shared" si="4" ref="H10:H17">F10/E10*100</f>
        <v>94.8093679689098</v>
      </c>
      <c r="I10" s="56">
        <f t="shared" si="1"/>
        <v>-53276.640000000014</v>
      </c>
      <c r="J10" s="56">
        <f t="shared" si="2"/>
        <v>86.2338958981244</v>
      </c>
      <c r="K10" s="141">
        <f>F10-334336.4</f>
        <v>-599.8400000000256</v>
      </c>
      <c r="L10" s="142">
        <f>F10/334336.4</f>
        <v>0.9982058788693065</v>
      </c>
      <c r="M10" s="40">
        <f>E10-жовтень!E10</f>
        <v>32301.900000000023</v>
      </c>
      <c r="N10" s="40">
        <f>F10-жовтень!F10</f>
        <v>17714.369999999995</v>
      </c>
      <c r="O10" s="53">
        <f t="shared" si="3"/>
        <v>-14587.530000000028</v>
      </c>
      <c r="P10" s="56">
        <f aca="true" t="shared" si="5" ref="P10:P17">N10/M10*100</f>
        <v>54.840024890176686</v>
      </c>
      <c r="Q10" s="141">
        <f>N10-32243.9</f>
        <v>-14529.530000000006</v>
      </c>
      <c r="R10" s="142">
        <f>N10/32243.9</f>
        <v>0.5493867057024738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-875.21</v>
      </c>
      <c r="G19" s="49">
        <f t="shared" si="0"/>
        <v>-1954.81</v>
      </c>
      <c r="H19" s="40">
        <f aca="true" t="shared" si="6" ref="H19:H29">F19/E19*100</f>
        <v>-81.06798814375695</v>
      </c>
      <c r="I19" s="56">
        <f aca="true" t="shared" si="7" ref="I19:I29">F19-D19</f>
        <v>-1875.21</v>
      </c>
      <c r="J19" s="56">
        <f aca="true" t="shared" si="8" ref="J19:J29">F19/D19*100</f>
        <v>-87.521</v>
      </c>
      <c r="K19" s="167">
        <f>F19-7207</f>
        <v>-8082.21</v>
      </c>
      <c r="L19" s="168">
        <f>F19/7207</f>
        <v>-0.12143887886776746</v>
      </c>
      <c r="M19" s="40">
        <f>E19-жовтень!E19</f>
        <v>12</v>
      </c>
      <c r="N19" s="40">
        <f>F19-жовтень!F19</f>
        <v>5.67999999999995</v>
      </c>
      <c r="O19" s="53">
        <f t="shared" si="3"/>
        <v>-6.32000000000005</v>
      </c>
      <c r="P19" s="56">
        <f aca="true" t="shared" si="9" ref="P19:P29">N19/M19*100</f>
        <v>47.33333333333292</v>
      </c>
      <c r="Q19" s="56">
        <f>N19-363.4</f>
        <v>-357.72</v>
      </c>
      <c r="R19" s="135">
        <f>N19/363.4</f>
        <v>0.015630159603742297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69518.42</v>
      </c>
      <c r="G33" s="49">
        <f aca="true" t="shared" si="14" ref="G33:G72">F33-E33</f>
        <v>-2395.0099999999948</v>
      </c>
      <c r="H33" s="40">
        <f aca="true" t="shared" si="15" ref="H33:H67">F33/E33*100</f>
        <v>96.66959287020521</v>
      </c>
      <c r="I33" s="56">
        <f>F33-D33</f>
        <v>-24047.58</v>
      </c>
      <c r="J33" s="56">
        <f aca="true" t="shared" si="16" ref="J33:J72">F33/D33*100</f>
        <v>74.2988051215185</v>
      </c>
      <c r="K33" s="141">
        <f>F33-73845.7</f>
        <v>-4327.279999999999</v>
      </c>
      <c r="L33" s="142">
        <f>F33/73845.7</f>
        <v>0.9414010565273266</v>
      </c>
      <c r="M33" s="40">
        <f>E33-жовтень!E33</f>
        <v>7377.5899999999965</v>
      </c>
      <c r="N33" s="40">
        <f>F33-жовтень!F33</f>
        <v>1251.5800000000017</v>
      </c>
      <c r="O33" s="53">
        <f t="shared" si="3"/>
        <v>-6126.009999999995</v>
      </c>
      <c r="P33" s="56">
        <f aca="true" t="shared" si="17" ref="P33:P67">N33/M33*100</f>
        <v>16.96461852718845</v>
      </c>
      <c r="Q33" s="141">
        <f>N33-6429.9</f>
        <v>-5178.319999999998</v>
      </c>
      <c r="R33" s="142">
        <f>N33/6429.9</f>
        <v>0.19464999455668078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51888.28</v>
      </c>
      <c r="G55" s="144">
        <f t="shared" si="14"/>
        <v>-960.25</v>
      </c>
      <c r="H55" s="146">
        <f t="shared" si="15"/>
        <v>98.18301474042892</v>
      </c>
      <c r="I55" s="145">
        <f t="shared" si="18"/>
        <v>-18377.72</v>
      </c>
      <c r="J55" s="145">
        <f t="shared" si="16"/>
        <v>73.8455013804685</v>
      </c>
      <c r="K55" s="148">
        <f>F55-53912.95</f>
        <v>-2024.6699999999983</v>
      </c>
      <c r="L55" s="149">
        <f>F55/53912.95</f>
        <v>0.9624455719822418</v>
      </c>
      <c r="M55" s="40">
        <f>E55-жовтень!E55</f>
        <v>5442.989999999998</v>
      </c>
      <c r="N55" s="40">
        <f>F55-жовтень!F55</f>
        <v>1183.6299999999974</v>
      </c>
      <c r="O55" s="148">
        <f t="shared" si="3"/>
        <v>-4259.360000000001</v>
      </c>
      <c r="P55" s="148">
        <f t="shared" si="17"/>
        <v>21.7459521329269</v>
      </c>
      <c r="Q55" s="160">
        <f>N55-4756.32</f>
        <v>-3572.6900000000023</v>
      </c>
      <c r="R55" s="161">
        <f>N55/4756.32</f>
        <v>0.24885415615433726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1.51+5824.63</f>
        <v>5826.14</v>
      </c>
      <c r="G56" s="49">
        <f t="shared" si="14"/>
        <v>-393.7599999999993</v>
      </c>
      <c r="H56" s="40">
        <f t="shared" si="15"/>
        <v>93.66935159729258</v>
      </c>
      <c r="I56" s="56">
        <f t="shared" si="18"/>
        <v>-1033.8599999999997</v>
      </c>
      <c r="J56" s="56">
        <f t="shared" si="16"/>
        <v>84.92915451895044</v>
      </c>
      <c r="K56" s="56">
        <f>F56-6560</f>
        <v>-733.8599999999997</v>
      </c>
      <c r="L56" s="135">
        <f>F56/6560</f>
        <v>0.8881310975609756</v>
      </c>
      <c r="M56" s="40">
        <f>E56-жовтень!E56</f>
        <v>553.3999999999996</v>
      </c>
      <c r="N56" s="40">
        <f>F56-жовтень!F56</f>
        <v>480.1800000000003</v>
      </c>
      <c r="O56" s="53">
        <f t="shared" si="3"/>
        <v>-73.21999999999935</v>
      </c>
      <c r="P56" s="56">
        <f t="shared" si="17"/>
        <v>86.76906396819672</v>
      </c>
      <c r="Q56" s="56">
        <f>N56-486.5</f>
        <v>-6.319999999999709</v>
      </c>
      <c r="R56" s="135">
        <f>N56/486.5</f>
        <v>0.9870092497430633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11834.690000000002</v>
      </c>
      <c r="G74" s="50">
        <f aca="true" t="shared" si="24" ref="G74:G92">F74-E74</f>
        <v>-3442.3099999999977</v>
      </c>
      <c r="H74" s="51">
        <f aca="true" t="shared" si="25" ref="H74:H87">F74/E74*100</f>
        <v>77.467369247889</v>
      </c>
      <c r="I74" s="36">
        <f aca="true" t="shared" si="26" ref="I74:I92">F74-D74</f>
        <v>-6523.609999999997</v>
      </c>
      <c r="J74" s="36">
        <f aca="true" t="shared" si="27" ref="J74:J92">F74/D74*100</f>
        <v>64.4650648480524</v>
      </c>
      <c r="K74" s="36">
        <f>F74-17827.8</f>
        <v>-5993.109999999997</v>
      </c>
      <c r="L74" s="136">
        <f>F74/17827.8</f>
        <v>0.6638334511268918</v>
      </c>
      <c r="M74" s="22">
        <f>M77+M86+M88+M89+M94+M95+M96+M97+M99+M87+M104</f>
        <v>1580.5</v>
      </c>
      <c r="N74" s="22">
        <f>N77+N86+N88+N89+N94+N95+N96+N97+N99+N32+N104+N87+N103</f>
        <v>1045.7800000000002</v>
      </c>
      <c r="O74" s="55">
        <f aca="true" t="shared" si="28" ref="O74:O92">N74-M74</f>
        <v>-534.7199999999998</v>
      </c>
      <c r="P74" s="36">
        <f>N74/M74*100</f>
        <v>66.16766845934832</v>
      </c>
      <c r="Q74" s="36">
        <f>N74-1502.5</f>
        <v>-456.7199999999998</v>
      </c>
      <c r="R74" s="136">
        <f>N74/1502.5</f>
        <v>0.6960266222961732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120.1</v>
      </c>
      <c r="G89" s="49">
        <f t="shared" si="24"/>
        <v>-38.900000000000006</v>
      </c>
      <c r="H89" s="40">
        <f>F89/E89*100</f>
        <v>75.53459119496854</v>
      </c>
      <c r="I89" s="56">
        <f t="shared" si="26"/>
        <v>-54.900000000000006</v>
      </c>
      <c r="J89" s="56">
        <f t="shared" si="27"/>
        <v>68.62857142857143</v>
      </c>
      <c r="K89" s="56">
        <f>F89-147.9</f>
        <v>-27.80000000000001</v>
      </c>
      <c r="L89" s="135">
        <f>F89/147.9</f>
        <v>0.8120351588911426</v>
      </c>
      <c r="M89" s="40">
        <f>E89-жовтень!E89</f>
        <v>15</v>
      </c>
      <c r="N89" s="40">
        <f>F89-жовтень!F89</f>
        <v>7.6499999999999915</v>
      </c>
      <c r="O89" s="53">
        <f t="shared" si="28"/>
        <v>-7.3500000000000085</v>
      </c>
      <c r="P89" s="56">
        <f>N89/M89*100</f>
        <v>50.99999999999994</v>
      </c>
      <c r="Q89" s="56">
        <f>N89-10.4</f>
        <v>-2.750000000000009</v>
      </c>
      <c r="R89" s="135">
        <f>N89/10.4</f>
        <v>0.7355769230769222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936.06</v>
      </c>
      <c r="G96" s="49">
        <f t="shared" si="31"/>
        <v>-78.44000000000005</v>
      </c>
      <c r="H96" s="40">
        <f>F96/E96*100</f>
        <v>92.26811237062591</v>
      </c>
      <c r="I96" s="56">
        <f t="shared" si="32"/>
        <v>-263.94000000000005</v>
      </c>
      <c r="J96" s="56">
        <f>F96/D96*100</f>
        <v>78.005</v>
      </c>
      <c r="K96" s="56">
        <f>F96-1013.8</f>
        <v>-77.74000000000001</v>
      </c>
      <c r="L96" s="135">
        <f>F96/1013.8</f>
        <v>0.9233182087196685</v>
      </c>
      <c r="M96" s="40">
        <f>E96-жовтень!E96</f>
        <v>110</v>
      </c>
      <c r="N96" s="40">
        <f>F96-жовтень!F96</f>
        <v>70.88999999999999</v>
      </c>
      <c r="O96" s="53">
        <f t="shared" si="33"/>
        <v>-39.110000000000014</v>
      </c>
      <c r="P96" s="56">
        <f>N96/M96*100</f>
        <v>64.44545454545452</v>
      </c>
      <c r="Q96" s="56">
        <f>N96-83.7</f>
        <v>-12.810000000000016</v>
      </c>
      <c r="R96" s="135">
        <f>N96/83.7</f>
        <v>0.8469534050179209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3744.75</v>
      </c>
      <c r="G99" s="49">
        <f t="shared" si="31"/>
        <v>77.75</v>
      </c>
      <c r="H99" s="40">
        <f>F99/E99*100</f>
        <v>102.12026179438234</v>
      </c>
      <c r="I99" s="56">
        <f t="shared" si="32"/>
        <v>-827.9499999999998</v>
      </c>
      <c r="J99" s="56">
        <f>F99/D99*100</f>
        <v>81.89362958427188</v>
      </c>
      <c r="K99" s="56">
        <f>F99-4178.8</f>
        <v>-434.0500000000002</v>
      </c>
      <c r="L99" s="135">
        <f>F99/4178.8</f>
        <v>0.8961304680769598</v>
      </c>
      <c r="M99" s="40">
        <f>E99-жовтень!E99</f>
        <v>330</v>
      </c>
      <c r="N99" s="40">
        <f>F99-жовтень!F99</f>
        <v>297.80999999999995</v>
      </c>
      <c r="O99" s="53">
        <f t="shared" si="33"/>
        <v>-32.190000000000055</v>
      </c>
      <c r="P99" s="56">
        <f>N99/M99*100</f>
        <v>90.24545454545454</v>
      </c>
      <c r="Q99" s="56">
        <f>N99-332.8</f>
        <v>-34.990000000000066</v>
      </c>
      <c r="R99" s="135">
        <f>N99/332.8</f>
        <v>0.8948617788461537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907.6</v>
      </c>
      <c r="G102" s="144"/>
      <c r="H102" s="146"/>
      <c r="I102" s="145"/>
      <c r="J102" s="145"/>
      <c r="K102" s="148">
        <f>F102-738.2</f>
        <v>169.39999999999998</v>
      </c>
      <c r="L102" s="149">
        <f>F102/738.2</f>
        <v>1.22947710647521</v>
      </c>
      <c r="M102" s="40">
        <f>E102-жовтень!E102</f>
        <v>0</v>
      </c>
      <c r="N102" s="40">
        <f>F102-жовтень!F102</f>
        <v>69.10000000000002</v>
      </c>
      <c r="O102" s="53"/>
      <c r="P102" s="60"/>
      <c r="Q102" s="60">
        <f>N102-89.7</f>
        <v>-20.59999999999998</v>
      </c>
      <c r="R102" s="138">
        <f>N102/89.7</f>
        <v>0.7703455964325532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-43.06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22.44</v>
      </c>
      <c r="G105" s="49">
        <f>F105-E105</f>
        <v>-7.759999999999998</v>
      </c>
      <c r="H105" s="40">
        <f>F105/E105*100</f>
        <v>74.30463576158941</v>
      </c>
      <c r="I105" s="56">
        <f t="shared" si="34"/>
        <v>-22.56</v>
      </c>
      <c r="J105" s="56">
        <f aca="true" t="shared" si="36" ref="J105:J110">F105/D105*100</f>
        <v>49.86666666666667</v>
      </c>
      <c r="K105" s="56">
        <f>F105-35.8</f>
        <v>-13.359999999999996</v>
      </c>
      <c r="L105" s="135">
        <f>F105/35.8</f>
        <v>0.6268156424581006</v>
      </c>
      <c r="M105" s="40">
        <f>E105-жовтень!E105</f>
        <v>3</v>
      </c>
      <c r="N105" s="40">
        <f>F105-жовтень!F105</f>
        <v>0.7300000000000004</v>
      </c>
      <c r="O105" s="53">
        <f t="shared" si="35"/>
        <v>-2.2699999999999996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420096.61</v>
      </c>
      <c r="G107" s="175">
        <f>F107-E107</f>
        <v>-26468.619999999995</v>
      </c>
      <c r="H107" s="51">
        <f>F107/E107*100</f>
        <v>94.07284351269355</v>
      </c>
      <c r="I107" s="36">
        <f t="shared" si="34"/>
        <v>-86782.98999999999</v>
      </c>
      <c r="J107" s="36">
        <f t="shared" si="36"/>
        <v>82.87897362608399</v>
      </c>
      <c r="K107" s="36">
        <f>F107-438950.2</f>
        <v>-18853.590000000026</v>
      </c>
      <c r="L107" s="136">
        <f>F107/438950.2</f>
        <v>0.9570484533325192</v>
      </c>
      <c r="M107" s="22">
        <f>M8+M74+M105+M106</f>
        <v>41837.89000000002</v>
      </c>
      <c r="N107" s="22">
        <f>N8+N74+N105+N106</f>
        <v>20526.369999999995</v>
      </c>
      <c r="O107" s="55">
        <f t="shared" si="35"/>
        <v>-21311.520000000026</v>
      </c>
      <c r="P107" s="36">
        <f>N107/M107*100</f>
        <v>49.06167591147638</v>
      </c>
      <c r="Q107" s="36">
        <f>N107-41056.6</f>
        <v>-20530.230000000003</v>
      </c>
      <c r="R107" s="136">
        <f>N107/41056.6</f>
        <v>0.49995299172362045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334672.62</v>
      </c>
      <c r="G108" s="153">
        <f>G10-G18+G96</f>
        <v>-18349.88</v>
      </c>
      <c r="H108" s="72">
        <f>F108/E108*100</f>
        <v>94.80206502418402</v>
      </c>
      <c r="I108" s="52">
        <f t="shared" si="34"/>
        <v>-53540.580000000016</v>
      </c>
      <c r="J108" s="52">
        <f t="shared" si="36"/>
        <v>86.20845968143279</v>
      </c>
      <c r="K108" s="52">
        <f>F108-335439.2</f>
        <v>-766.5800000000163</v>
      </c>
      <c r="L108" s="137">
        <f>F108/335439.2</f>
        <v>0.9977146976262762</v>
      </c>
      <c r="M108" s="71">
        <f>M10-M18+M96</f>
        <v>32411.900000000023</v>
      </c>
      <c r="N108" s="71">
        <f>N10-N18+N96</f>
        <v>17785.259999999995</v>
      </c>
      <c r="O108" s="53">
        <f t="shared" si="35"/>
        <v>-14626.640000000029</v>
      </c>
      <c r="P108" s="52">
        <f>N108/M108*100</f>
        <v>54.872623943674945</v>
      </c>
      <c r="Q108" s="52">
        <f>N108-32327.7</f>
        <v>-14542.440000000006</v>
      </c>
      <c r="R108" s="137">
        <f>N108/32327.7</f>
        <v>0.550155439452853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85423.98999999999</v>
      </c>
      <c r="G109" s="176">
        <f>F109-E109</f>
        <v>-8118.739999999991</v>
      </c>
      <c r="H109" s="72">
        <f>F109/E109*100</f>
        <v>91.3208220457111</v>
      </c>
      <c r="I109" s="52">
        <f t="shared" si="34"/>
        <v>-33242.409999999974</v>
      </c>
      <c r="J109" s="52">
        <f t="shared" si="36"/>
        <v>71.98667019476449</v>
      </c>
      <c r="K109" s="52">
        <f>F109-103511.1</f>
        <v>-18087.110000000015</v>
      </c>
      <c r="L109" s="137">
        <f>F109/103511.1</f>
        <v>0.8252640538067897</v>
      </c>
      <c r="M109" s="71">
        <f>M107-M108</f>
        <v>9425.989999999998</v>
      </c>
      <c r="N109" s="71">
        <f>N107-N108</f>
        <v>2741.1100000000006</v>
      </c>
      <c r="O109" s="53">
        <f t="shared" si="35"/>
        <v>-6684.879999999997</v>
      </c>
      <c r="P109" s="52">
        <f>N109/M109*100</f>
        <v>29.080340632655044</v>
      </c>
      <c r="Q109" s="52">
        <f>N109-8729</f>
        <v>-5987.889999999999</v>
      </c>
      <c r="R109" s="137">
        <f>N109/8729</f>
        <v>0.3140233703746134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334672.62</v>
      </c>
      <c r="G110" s="111">
        <f>F110-E110</f>
        <v>-14009.979999999981</v>
      </c>
      <c r="H110" s="72">
        <f>F110/E110*100</f>
        <v>95.98202491320187</v>
      </c>
      <c r="I110" s="81">
        <f t="shared" si="34"/>
        <v>-53540.580000000016</v>
      </c>
      <c r="J110" s="52">
        <f t="shared" si="36"/>
        <v>86.20845968143279</v>
      </c>
      <c r="K110" s="52"/>
      <c r="L110" s="137"/>
      <c r="M110" s="72">
        <f>E110-жовтень!E110</f>
        <v>33441.899999999965</v>
      </c>
      <c r="N110" s="71">
        <f>N108</f>
        <v>17785.259999999995</v>
      </c>
      <c r="O110" s="63">
        <f t="shared" si="35"/>
        <v>-15656.63999999997</v>
      </c>
      <c r="P110" s="52">
        <f>N110/M110*100</f>
        <v>53.182564387789014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1394.45</v>
      </c>
      <c r="G115" s="49">
        <f t="shared" si="37"/>
        <v>-1939.95</v>
      </c>
      <c r="H115" s="40">
        <f aca="true" t="shared" si="39" ref="H115:H126">F115/E115*100</f>
        <v>41.82011756238004</v>
      </c>
      <c r="I115" s="60">
        <f t="shared" si="38"/>
        <v>-2277.05</v>
      </c>
      <c r="J115" s="60">
        <f aca="true" t="shared" si="40" ref="J115:J121">F115/D115*100</f>
        <v>37.980389486585864</v>
      </c>
      <c r="K115" s="60">
        <f>F115-3211.4</f>
        <v>-1816.95</v>
      </c>
      <c r="L115" s="138">
        <f>F115/3211.4</f>
        <v>0.43421872080712465</v>
      </c>
      <c r="M115" s="40">
        <f>E115-жовтень!E115</f>
        <v>327.4000000000001</v>
      </c>
      <c r="N115" s="40">
        <f>F115-жовтень!F115</f>
        <v>75.90000000000009</v>
      </c>
      <c r="O115" s="53">
        <f aca="true" t="shared" si="41" ref="O115:O126">N115-M115</f>
        <v>-251.5</v>
      </c>
      <c r="P115" s="60">
        <f>N115/M115*100</f>
        <v>23.182651191203444</v>
      </c>
      <c r="Q115" s="60">
        <f>N115-83.3</f>
        <v>-7.399999999999906</v>
      </c>
      <c r="R115" s="138">
        <f>N115/83.3</f>
        <v>0.9111644657863156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1679.22</v>
      </c>
      <c r="G117" s="62">
        <f t="shared" si="37"/>
        <v>-1899.68</v>
      </c>
      <c r="H117" s="72">
        <f t="shared" si="39"/>
        <v>46.92000335298555</v>
      </c>
      <c r="I117" s="61">
        <f t="shared" si="38"/>
        <v>-2260.38</v>
      </c>
      <c r="J117" s="61">
        <f t="shared" si="40"/>
        <v>42.6241242765763</v>
      </c>
      <c r="K117" s="61">
        <f>F117-3477.6</f>
        <v>-1798.3799999999999</v>
      </c>
      <c r="L117" s="139">
        <f>F117/3477.6</f>
        <v>0.4828674948240166</v>
      </c>
      <c r="M117" s="62">
        <f>M115+M116+M114</f>
        <v>349.4000000000001</v>
      </c>
      <c r="N117" s="38">
        <f>SUM(N114:N116)</f>
        <v>97.4600000000001</v>
      </c>
      <c r="O117" s="61">
        <f t="shared" si="41"/>
        <v>-251.94</v>
      </c>
      <c r="P117" s="61">
        <f>N117/M117*100</f>
        <v>27.893531768746442</v>
      </c>
      <c r="Q117" s="61">
        <f>N117-106.6</f>
        <v>-9.139999999999901</v>
      </c>
      <c r="R117" s="139">
        <f>N117/106.6</f>
        <v>0.9142589118198884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449.55</v>
      </c>
      <c r="G119" s="49">
        <f t="shared" si="37"/>
        <v>189.05</v>
      </c>
      <c r="H119" s="40">
        <f t="shared" si="39"/>
        <v>172.57197696737046</v>
      </c>
      <c r="I119" s="60">
        <f t="shared" si="38"/>
        <v>182.35000000000002</v>
      </c>
      <c r="J119" s="60">
        <f t="shared" si="40"/>
        <v>168.24476047904193</v>
      </c>
      <c r="K119" s="60">
        <f>F119-237.7</f>
        <v>211.85000000000002</v>
      </c>
      <c r="L119" s="138">
        <f>F119/237.7</f>
        <v>1.8912494741270511</v>
      </c>
      <c r="M119" s="40">
        <f>E119-жовтень!E119</f>
        <v>0</v>
      </c>
      <c r="N119" s="40">
        <f>F119-жовтень!F119</f>
        <v>12.550000000000011</v>
      </c>
      <c r="O119" s="53">
        <f>N119-M119</f>
        <v>12.550000000000011</v>
      </c>
      <c r="P119" s="60" t="e">
        <f>N119/M119*100</f>
        <v>#DIV/0!</v>
      </c>
      <c r="Q119" s="60">
        <f>N119-3.5</f>
        <v>9.050000000000011</v>
      </c>
      <c r="R119" s="138">
        <f>N119/3.5</f>
        <v>3.585714285714289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77264.01</v>
      </c>
      <c r="G120" s="49">
        <f t="shared" si="37"/>
        <v>8551.409999999989</v>
      </c>
      <c r="H120" s="40">
        <f t="shared" si="39"/>
        <v>112.44518472594545</v>
      </c>
      <c r="I120" s="53">
        <f t="shared" si="38"/>
        <v>5288.0199999999895</v>
      </c>
      <c r="J120" s="60">
        <f t="shared" si="40"/>
        <v>107.3469222167003</v>
      </c>
      <c r="K120" s="60">
        <f>F120-66794.9</f>
        <v>10469.11</v>
      </c>
      <c r="L120" s="138">
        <f>F120/66794.9</f>
        <v>1.156735169900696</v>
      </c>
      <c r="M120" s="40">
        <f>E120-жовтень!E120</f>
        <v>8700.000000000007</v>
      </c>
      <c r="N120" s="40">
        <f>F120-жовтень!F120</f>
        <v>9406.729999999996</v>
      </c>
      <c r="O120" s="53">
        <f t="shared" si="41"/>
        <v>706.7299999999886</v>
      </c>
      <c r="P120" s="60">
        <f aca="true" t="shared" si="42" ref="P120:P125">N120/M120*100</f>
        <v>108.12333333333319</v>
      </c>
      <c r="Q120" s="60">
        <f>N120-8604.8</f>
        <v>801.9299999999967</v>
      </c>
      <c r="R120" s="138">
        <f>N120/8604.8</f>
        <v>1.0931956582372626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1754.81</v>
      </c>
      <c r="G121" s="49">
        <f t="shared" si="37"/>
        <v>-1606.38</v>
      </c>
      <c r="H121" s="40">
        <f t="shared" si="39"/>
        <v>52.20799776269713</v>
      </c>
      <c r="I121" s="60">
        <f t="shared" si="38"/>
        <v>-2995.19</v>
      </c>
      <c r="J121" s="60">
        <f t="shared" si="40"/>
        <v>36.94336842105263</v>
      </c>
      <c r="K121" s="60">
        <f>F121-1790.1</f>
        <v>-35.289999999999964</v>
      </c>
      <c r="L121" s="138">
        <f>F121/1790.1</f>
        <v>0.9802860175409195</v>
      </c>
      <c r="M121" s="40">
        <f>E121-жовтень!E121</f>
        <v>161.78999999999996</v>
      </c>
      <c r="N121" s="40">
        <f>F121-жовтень!F121</f>
        <v>0.01999999999998181</v>
      </c>
      <c r="O121" s="53">
        <f t="shared" si="41"/>
        <v>-161.76999999999998</v>
      </c>
      <c r="P121" s="60">
        <f t="shared" si="42"/>
        <v>0.012361703442723167</v>
      </c>
      <c r="Q121" s="60">
        <f>N121-500.5</f>
        <v>-500.48</v>
      </c>
      <c r="R121" s="138">
        <f>N121/500.5</f>
        <v>3.996003996000362E-05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3717.29</v>
      </c>
      <c r="G122" s="49">
        <f t="shared" si="37"/>
        <v>-16592.44</v>
      </c>
      <c r="H122" s="40">
        <f t="shared" si="39"/>
        <v>18.303000581494683</v>
      </c>
      <c r="I122" s="60">
        <f t="shared" si="38"/>
        <v>-19359.84</v>
      </c>
      <c r="J122" s="60">
        <f>F122/D122*100</f>
        <v>16.108112230593665</v>
      </c>
      <c r="K122" s="60">
        <f>F122-23492</f>
        <v>-19774.71</v>
      </c>
      <c r="L122" s="138">
        <f>F122/23492</f>
        <v>0.1582364209092457</v>
      </c>
      <c r="M122" s="40">
        <f>E122-жовтень!E122</f>
        <v>2733.5</v>
      </c>
      <c r="N122" s="40">
        <f>F122-жовтень!F122</f>
        <v>955.19</v>
      </c>
      <c r="O122" s="53">
        <f t="shared" si="41"/>
        <v>-1778.31</v>
      </c>
      <c r="P122" s="60">
        <f t="shared" si="42"/>
        <v>34.943844887506856</v>
      </c>
      <c r="Q122" s="60">
        <f>N122-826.2</f>
        <v>128.99</v>
      </c>
      <c r="R122" s="138">
        <f>N122/826.2</f>
        <v>1.1561244250786735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1290.64</v>
      </c>
      <c r="G123" s="49">
        <f t="shared" si="37"/>
        <v>-519.76</v>
      </c>
      <c r="H123" s="40">
        <f t="shared" si="39"/>
        <v>71.29032258064515</v>
      </c>
      <c r="I123" s="60">
        <f t="shared" si="38"/>
        <v>-709.3599999999999</v>
      </c>
      <c r="J123" s="60">
        <f>F123/D123*100</f>
        <v>64.532</v>
      </c>
      <c r="K123" s="60">
        <f>F123-1731.9</f>
        <v>-441.26</v>
      </c>
      <c r="L123" s="138">
        <f>F123/1731.9</f>
        <v>0.7452162365032623</v>
      </c>
      <c r="M123" s="40">
        <f>E123-жовтень!E123</f>
        <v>189.59000000000015</v>
      </c>
      <c r="N123" s="40">
        <f>F123-жовтень!F123</f>
        <v>156.62000000000012</v>
      </c>
      <c r="O123" s="53">
        <f t="shared" si="41"/>
        <v>-32.97000000000003</v>
      </c>
      <c r="P123" s="60">
        <f t="shared" si="42"/>
        <v>82.60984229126008</v>
      </c>
      <c r="Q123" s="60">
        <f>N123-9.2</f>
        <v>147.42000000000013</v>
      </c>
      <c r="R123" s="138">
        <f>N123/9.2</f>
        <v>17.023913043478274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84476.29999999999</v>
      </c>
      <c r="G124" s="62">
        <f t="shared" si="37"/>
        <v>-9978.12000000001</v>
      </c>
      <c r="H124" s="72">
        <f t="shared" si="39"/>
        <v>89.43604756664641</v>
      </c>
      <c r="I124" s="61">
        <f t="shared" si="38"/>
        <v>-17594.02000000002</v>
      </c>
      <c r="J124" s="61">
        <f>F124/D124*100</f>
        <v>82.76284428225559</v>
      </c>
      <c r="K124" s="61">
        <f>F124-94046.5</f>
        <v>-9570.200000000012</v>
      </c>
      <c r="L124" s="139">
        <f>F124/94046.5</f>
        <v>0.8982397005736523</v>
      </c>
      <c r="M124" s="62">
        <f>M120+M121+M122+M123+M119</f>
        <v>11784.880000000008</v>
      </c>
      <c r="N124" s="62">
        <f>N120+N121+N122+N123+N119</f>
        <v>10531.109999999997</v>
      </c>
      <c r="O124" s="61">
        <f t="shared" si="41"/>
        <v>-1253.7700000000114</v>
      </c>
      <c r="P124" s="61">
        <f t="shared" si="42"/>
        <v>89.36119841695451</v>
      </c>
      <c r="Q124" s="61">
        <f>N124-9944.1</f>
        <v>587.0099999999966</v>
      </c>
      <c r="R124" s="139">
        <f>N124/9944.1</f>
        <v>1.0590309831960656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7523</v>
      </c>
      <c r="G128" s="49">
        <f aca="true" t="shared" si="43" ref="G128:G135">F128-E128</f>
        <v>-1176</v>
      </c>
      <c r="H128" s="40">
        <f>F128/E128*100</f>
        <v>86.48120473617658</v>
      </c>
      <c r="I128" s="60">
        <f aca="true" t="shared" si="44" ref="I128:I135">F128-D128</f>
        <v>-1177</v>
      </c>
      <c r="J128" s="60">
        <f>F128/D128*100</f>
        <v>86.47126436781609</v>
      </c>
      <c r="K128" s="60">
        <f>F128-10826.4</f>
        <v>-3303.3999999999996</v>
      </c>
      <c r="L128" s="138">
        <f>F128/10826.4</f>
        <v>0.6948754895440775</v>
      </c>
      <c r="M128" s="40">
        <f>E128-вересень!E128</f>
        <v>1980.5</v>
      </c>
      <c r="N128" s="40">
        <f>F128-вересень!F128</f>
        <v>154.1199999999999</v>
      </c>
      <c r="O128" s="53">
        <f aca="true" t="shared" si="45" ref="O128:O135">N128-M128</f>
        <v>-1826.38</v>
      </c>
      <c r="P128" s="60">
        <f>N128/M128*100</f>
        <v>7.781873264327184</v>
      </c>
      <c r="Q128" s="60">
        <f>N128-2097.7</f>
        <v>-1943.58</v>
      </c>
      <c r="R128" s="162">
        <f>N128/2097.7</f>
        <v>0.0734709443676407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1.36</v>
      </c>
      <c r="G129" s="49">
        <f t="shared" si="43"/>
        <v>1.36</v>
      </c>
      <c r="H129" s="40"/>
      <c r="I129" s="60">
        <f t="shared" si="44"/>
        <v>1.36</v>
      </c>
      <c r="J129" s="60"/>
      <c r="K129" s="60">
        <f>F129-0.8</f>
        <v>0.56</v>
      </c>
      <c r="L129" s="138">
        <f>F129/0.8</f>
        <v>1.7</v>
      </c>
      <c r="M129" s="40">
        <f>E129-вересень!E129</f>
        <v>0</v>
      </c>
      <c r="N129" s="40">
        <f>F129-вересень!F129</f>
        <v>0.28</v>
      </c>
      <c r="O129" s="53">
        <f t="shared" si="45"/>
        <v>0.28</v>
      </c>
      <c r="P129" s="60"/>
      <c r="Q129" s="60">
        <f>N129-(-0.3)</f>
        <v>0.5800000000000001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7578.849999999999</v>
      </c>
      <c r="G130" s="62">
        <f t="shared" si="43"/>
        <v>-1162.5100000000011</v>
      </c>
      <c r="H130" s="72">
        <f>F130/E130*100</f>
        <v>86.70103965515662</v>
      </c>
      <c r="I130" s="61">
        <f t="shared" si="44"/>
        <v>-1171.8500000000013</v>
      </c>
      <c r="J130" s="61">
        <f>F130/D130*100</f>
        <v>86.60849989143725</v>
      </c>
      <c r="K130" s="61">
        <f>F130-10959.2</f>
        <v>-3380.3500000000013</v>
      </c>
      <c r="L130" s="139">
        <f>G130/10959.2</f>
        <v>-0.10607617344331713</v>
      </c>
      <c r="M130" s="62">
        <f>M125+M128+M129+M127</f>
        <v>1988.5</v>
      </c>
      <c r="N130" s="62">
        <f>N125+N128+N129+N127</f>
        <v>165.2399999999999</v>
      </c>
      <c r="O130" s="61">
        <f t="shared" si="45"/>
        <v>-1823.2600000000002</v>
      </c>
      <c r="P130" s="61">
        <f>N130/M130*100</f>
        <v>8.309781242142313</v>
      </c>
      <c r="Q130" s="61">
        <f>N130-2098.3</f>
        <v>-1933.0600000000004</v>
      </c>
      <c r="R130" s="137">
        <f>N130/2098.3</f>
        <v>0.0787494638516894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93768</v>
      </c>
      <c r="G134" s="50">
        <f t="shared" si="43"/>
        <v>-13030.929999999993</v>
      </c>
      <c r="H134" s="51">
        <f>F134/E134*100</f>
        <v>87.79863243948232</v>
      </c>
      <c r="I134" s="36">
        <f t="shared" si="44"/>
        <v>-21022.62000000001</v>
      </c>
      <c r="J134" s="36">
        <f>F134/D134*100</f>
        <v>81.68611686216173</v>
      </c>
      <c r="K134" s="36">
        <f>F134-108511.5</f>
        <v>-14743.5</v>
      </c>
      <c r="L134" s="136">
        <f>F134/108511.5</f>
        <v>0.8641296083825216</v>
      </c>
      <c r="M134" s="31">
        <f>M117+M131+M124+M130+M133+M132</f>
        <v>14123.580000000009</v>
      </c>
      <c r="N134" s="31">
        <f>N117+N131+N124+N130+N133+N132</f>
        <v>10795.579999999996</v>
      </c>
      <c r="O134" s="36">
        <f t="shared" si="45"/>
        <v>-3328.0000000000127</v>
      </c>
      <c r="P134" s="36">
        <f>N134/M134*100</f>
        <v>76.43656919846093</v>
      </c>
      <c r="Q134" s="36">
        <f>N134-12149.2</f>
        <v>-1353.6200000000044</v>
      </c>
      <c r="R134" s="136">
        <f>N134/12149.2</f>
        <v>0.8885836104434857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513864.61</v>
      </c>
      <c r="G135" s="50">
        <f t="shared" si="43"/>
        <v>-39499.54999999993</v>
      </c>
      <c r="H135" s="51">
        <f>F135/E135*100</f>
        <v>92.8619247766245</v>
      </c>
      <c r="I135" s="36">
        <f t="shared" si="44"/>
        <v>-107805.60999999999</v>
      </c>
      <c r="J135" s="36">
        <f>F135/D135*100</f>
        <v>82.65871413303343</v>
      </c>
      <c r="K135" s="36">
        <f>F135-547461.7</f>
        <v>-33597.08999999997</v>
      </c>
      <c r="L135" s="136">
        <f>F135/547461.7</f>
        <v>0.9386311590381574</v>
      </c>
      <c r="M135" s="22">
        <f>M107+M134</f>
        <v>55961.47000000003</v>
      </c>
      <c r="N135" s="22">
        <f>N107+N134</f>
        <v>31321.94999999999</v>
      </c>
      <c r="O135" s="36">
        <f t="shared" si="45"/>
        <v>-24639.52000000004</v>
      </c>
      <c r="P135" s="36">
        <f>N135/M135*100</f>
        <v>55.970563317939956</v>
      </c>
      <c r="Q135" s="36">
        <f>N135-53205.8</f>
        <v>-21883.850000000013</v>
      </c>
      <c r="R135" s="136">
        <f>N135/53205.8</f>
        <v>0.5886942776915296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8</v>
      </c>
      <c r="D137" s="4" t="s">
        <v>118</v>
      </c>
    </row>
    <row r="138" spans="2:17" ht="31.5">
      <c r="B138" s="78" t="s">
        <v>154</v>
      </c>
      <c r="C138" s="39">
        <f>IF(O107&lt;0,ABS(O107/C137),0)</f>
        <v>2663.9400000000032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41961</v>
      </c>
      <c r="D139" s="39">
        <v>888.8</v>
      </c>
      <c r="N139" s="194"/>
      <c r="O139" s="194"/>
    </row>
    <row r="140" spans="3:15" ht="15.75">
      <c r="C140" s="120">
        <v>41960</v>
      </c>
      <c r="D140" s="39">
        <v>1034.9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41957</v>
      </c>
      <c r="D141" s="39">
        <v>3810.9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123262.66424</v>
      </c>
      <c r="E143" s="80"/>
      <c r="F143" s="100" t="s">
        <v>147</v>
      </c>
      <c r="G143" s="190" t="s">
        <v>149</v>
      </c>
      <c r="H143" s="190"/>
      <c r="I143" s="116">
        <v>114242.06770999999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14801.94741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9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03" sqref="F10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14801.94741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2014-11-18T10:05:57Z</cp:lastPrinted>
  <dcterms:created xsi:type="dcterms:W3CDTF">2003-07-28T11:27:56Z</dcterms:created>
  <dcterms:modified xsi:type="dcterms:W3CDTF">2014-11-19T10:11:15Z</dcterms:modified>
  <cp:category/>
  <cp:version/>
  <cp:contentType/>
  <cp:contentStatus/>
</cp:coreProperties>
</file>